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60" windowHeight="14130" activeTab="3"/>
  </bookViews>
  <sheets>
    <sheet name="57-2" sheetId="2" r:id="rId1"/>
    <sheet name="57-4" sheetId="3" r:id="rId2"/>
    <sheet name="57-6" sheetId="1" r:id="rId3"/>
    <sheet name="57-10" sheetId="4" r:id="rId4"/>
    <sheet name="70-18" sheetId="5" r:id="rId5"/>
  </sheets>
  <calcPr calcId="144525"/>
</workbook>
</file>

<file path=xl/calcChain.xml><?xml version="1.0" encoding="utf-8"?>
<calcChain xmlns="http://schemas.openxmlformats.org/spreadsheetml/2006/main">
  <c r="C57" i="5" l="1"/>
  <c r="E57" i="5"/>
  <c r="J9" i="4"/>
  <c r="J10" i="4"/>
  <c r="J8" i="4"/>
  <c r="E61" i="5" l="1"/>
  <c r="D65" i="5"/>
  <c r="D64" i="5"/>
  <c r="D63" i="5"/>
  <c r="I10" i="4"/>
  <c r="I9" i="4"/>
  <c r="I8" i="4"/>
  <c r="D13" i="2"/>
  <c r="D14" i="2"/>
  <c r="D12" i="2"/>
  <c r="D62" i="5"/>
  <c r="D61" i="5"/>
  <c r="D60" i="5"/>
  <c r="S14" i="5"/>
  <c r="S13" i="5"/>
  <c r="F12" i="5"/>
  <c r="F13" i="5"/>
  <c r="F14" i="5"/>
  <c r="F15" i="5"/>
  <c r="F16" i="5"/>
  <c r="F17" i="5"/>
  <c r="F18" i="5"/>
  <c r="F11" i="5"/>
  <c r="F19" i="5"/>
  <c r="C19" i="5"/>
  <c r="D19" i="5"/>
  <c r="D20" i="5"/>
  <c r="E19" i="5"/>
  <c r="B19" i="5"/>
  <c r="B20" i="5" s="1"/>
  <c r="O13" i="5" s="1"/>
  <c r="Q13" i="5" s="1"/>
  <c r="C12" i="3"/>
  <c r="D5" i="3"/>
  <c r="E5" i="3" s="1"/>
  <c r="F5" i="3" s="1"/>
  <c r="C6" i="3"/>
  <c r="E6" i="3" s="1"/>
  <c r="D6" i="2"/>
  <c r="E12" i="1"/>
  <c r="F12" i="1"/>
  <c r="F15" i="1" s="1"/>
  <c r="D12" i="1"/>
  <c r="C12" i="1"/>
  <c r="C15" i="1"/>
  <c r="C11" i="1"/>
  <c r="I15" i="1"/>
  <c r="D15" i="1"/>
  <c r="E15" i="1"/>
  <c r="G11" i="1"/>
  <c r="C14" i="1" s="1"/>
  <c r="H14" i="1" s="1"/>
  <c r="J14" i="1" s="1"/>
  <c r="F11" i="1"/>
  <c r="F14" i="1"/>
  <c r="E11" i="1"/>
  <c r="E14" i="1"/>
  <c r="D11" i="1"/>
  <c r="D30" i="1"/>
  <c r="I13" i="5"/>
  <c r="K13" i="5"/>
  <c r="I14" i="5"/>
  <c r="K14" i="5"/>
  <c r="I15" i="5"/>
  <c r="K15" i="5"/>
  <c r="I16" i="5"/>
  <c r="K16" i="5"/>
  <c r="I17" i="5"/>
  <c r="K17" i="5"/>
  <c r="I18" i="5"/>
  <c r="K18" i="5"/>
  <c r="I19" i="5"/>
  <c r="K19" i="5"/>
  <c r="J12" i="5"/>
  <c r="L12" i="5"/>
  <c r="J13" i="5"/>
  <c r="L13" i="5"/>
  <c r="J14" i="5"/>
  <c r="L14" i="5"/>
  <c r="J15" i="5"/>
  <c r="L15" i="5"/>
  <c r="J16" i="5"/>
  <c r="L16" i="5"/>
  <c r="J17" i="5"/>
  <c r="L17" i="5"/>
  <c r="J18" i="5"/>
  <c r="L18" i="5"/>
  <c r="J19" i="5"/>
  <c r="L19" i="5"/>
  <c r="K12" i="5"/>
  <c r="I12" i="5"/>
  <c r="O16" i="5" s="1"/>
  <c r="O15" i="5" s="1"/>
  <c r="Q15" i="5" s="1"/>
  <c r="G17" i="5"/>
  <c r="G15" i="5"/>
  <c r="G13" i="5"/>
  <c r="E20" i="5"/>
  <c r="C20" i="5"/>
  <c r="G18" i="5"/>
  <c r="G16" i="5"/>
  <c r="G14" i="5"/>
  <c r="G12" i="5"/>
  <c r="G11" i="5"/>
  <c r="O14" i="5"/>
  <c r="Q14" i="5" s="1"/>
  <c r="D27" i="1"/>
  <c r="D29" i="1"/>
  <c r="D31" i="1"/>
  <c r="D14" i="1"/>
  <c r="D26" i="1"/>
  <c r="D28" i="1"/>
  <c r="K14" i="1" l="1"/>
  <c r="F21" i="1" s="1"/>
  <c r="R13" i="5"/>
  <c r="R14" i="5"/>
  <c r="H15" i="1"/>
  <c r="J15" i="1" s="1"/>
  <c r="E60" i="5"/>
  <c r="E64" i="5"/>
  <c r="E62" i="5"/>
  <c r="E65" i="5"/>
  <c r="E63" i="5"/>
  <c r="E31" i="1" l="1"/>
  <c r="E30" i="1"/>
  <c r="E29" i="1"/>
  <c r="E28" i="1"/>
  <c r="E27" i="1"/>
  <c r="E26" i="1"/>
</calcChain>
</file>

<file path=xl/sharedStrings.xml><?xml version="1.0" encoding="utf-8"?>
<sst xmlns="http://schemas.openxmlformats.org/spreadsheetml/2006/main" count="241" uniqueCount="139">
  <si>
    <t>X-bar</t>
  </si>
  <si>
    <t>between</t>
  </si>
  <si>
    <t>SS</t>
  </si>
  <si>
    <t>within</t>
  </si>
  <si>
    <t>MS</t>
  </si>
  <si>
    <t>df</t>
  </si>
  <si>
    <t>F</t>
  </si>
  <si>
    <t xml:space="preserve">Ho: </t>
  </si>
  <si>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1 =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2 =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3 =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4</t>
    </r>
  </si>
  <si>
    <t>at least one pair is different</t>
  </si>
  <si>
    <t>a = .05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</si>
  <si>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</si>
  <si>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</si>
  <si>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</si>
  <si>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</si>
  <si>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</si>
  <si>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</si>
  <si>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</si>
  <si>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</si>
  <si>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</si>
  <si>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P-value</t>
  </si>
  <si>
    <t>F crit</t>
  </si>
  <si>
    <t>Between Groups</t>
  </si>
  <si>
    <t>Within Groups</t>
  </si>
  <si>
    <t>Total</t>
  </si>
  <si>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1 =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2 =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3 </t>
    </r>
  </si>
  <si>
    <t>H1:</t>
  </si>
  <si>
    <t>Ho:</t>
  </si>
  <si>
    <t>b</t>
  </si>
  <si>
    <t>c</t>
  </si>
  <si>
    <t>i,j</t>
  </si>
  <si>
    <t>1,2</t>
  </si>
  <si>
    <t>1,3</t>
  </si>
  <si>
    <t>2,3</t>
  </si>
  <si>
    <t>sig?</t>
  </si>
  <si>
    <t>yes</t>
  </si>
  <si>
    <t>no</t>
  </si>
  <si>
    <t>Yes</t>
  </si>
  <si>
    <t>1,3 are the same therefore 2 is different</t>
  </si>
  <si>
    <t>a)</t>
  </si>
  <si>
    <t>k = 7</t>
  </si>
  <si>
    <t xml:space="preserve">b) </t>
  </si>
  <si>
    <t>Source</t>
  </si>
  <si>
    <t>total</t>
  </si>
  <si>
    <t xml:space="preserve">c) </t>
  </si>
  <si>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1 =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2. . .  = </t>
    </r>
    <r>
      <rPr>
        <sz val="11"/>
        <color indexed="8"/>
        <rFont val="Symbol"/>
        <family val="1"/>
        <charset val="2"/>
      </rPr>
      <t>m7</t>
    </r>
  </si>
  <si>
    <t>d)</t>
  </si>
  <si>
    <r>
      <t>F</t>
    </r>
    <r>
      <rPr>
        <vertAlign val="subscript"/>
        <sz val="11"/>
        <color indexed="8"/>
        <rFont val="Calibri"/>
        <family val="2"/>
      </rPr>
      <t>c</t>
    </r>
  </si>
  <si>
    <r>
      <t>H</t>
    </r>
    <r>
      <rPr>
        <vertAlign val="sub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:</t>
    </r>
  </si>
  <si>
    <r>
      <t>H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</t>
    </r>
  </si>
  <si>
    <r>
      <t>Reject H</t>
    </r>
    <r>
      <rPr>
        <vertAlign val="subscript"/>
        <sz val="11"/>
        <color indexed="8"/>
        <rFont val="Calibri"/>
        <family val="2"/>
      </rPr>
      <t>o:</t>
    </r>
  </si>
  <si>
    <t>observed F is more extreme than the critical F.</t>
  </si>
  <si>
    <t>Venetti</t>
  </si>
  <si>
    <t>Madison</t>
  </si>
  <si>
    <t>Edison</t>
  </si>
  <si>
    <t xml:space="preserve">a) </t>
  </si>
  <si>
    <t xml:space="preserve">Yes there is the F stat is bigger than trhe critical value </t>
  </si>
  <si>
    <t>equivalently, the p-value &lt; .01</t>
  </si>
  <si>
    <t>b)</t>
  </si>
  <si>
    <r>
      <t xml:space="preserve">can not choose a best (largest) </t>
    </r>
    <r>
      <rPr>
        <sz val="11"/>
        <color indexed="8"/>
        <rFont val="Symbol"/>
        <family val="1"/>
        <charset val="2"/>
      </rPr>
      <t>m</t>
    </r>
  </si>
  <si>
    <t>Group1</t>
  </si>
  <si>
    <t>Group2</t>
  </si>
  <si>
    <t>Group3</t>
  </si>
  <si>
    <t>Group4</t>
  </si>
  <si>
    <t>Block1</t>
  </si>
  <si>
    <t>Block2</t>
  </si>
  <si>
    <t>Block3</t>
  </si>
  <si>
    <t>Block4</t>
  </si>
  <si>
    <t>Block5</t>
  </si>
  <si>
    <t>Block6</t>
  </si>
  <si>
    <t>Block7</t>
  </si>
  <si>
    <t>Block8</t>
  </si>
  <si>
    <t>Show calculations:</t>
  </si>
  <si>
    <t>x-bar</t>
  </si>
  <si>
    <t>SST</t>
  </si>
  <si>
    <t>treatment</t>
  </si>
  <si>
    <t>block</t>
  </si>
  <si>
    <t>error</t>
  </si>
  <si>
    <t>F-crit</t>
  </si>
  <si>
    <t>Excel Tool</t>
  </si>
  <si>
    <t>Anova: Two-Factor Without Replication</t>
  </si>
  <si>
    <t>Rows</t>
  </si>
  <si>
    <t>Columns</t>
  </si>
  <si>
    <t>Error</t>
  </si>
  <si>
    <t>Regarding the treatments</t>
  </si>
  <si>
    <t>If blocking is necessary</t>
  </si>
  <si>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1 =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2. . .=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8</t>
    </r>
  </si>
  <si>
    <t>(row means)</t>
  </si>
  <si>
    <t>(column means)</t>
  </si>
  <si>
    <t>c)</t>
  </si>
  <si>
    <t xml:space="preserve">If we can reject the </t>
  </si>
  <si>
    <t xml:space="preserve">LSD = </t>
  </si>
  <si>
    <t>1,4</t>
  </si>
  <si>
    <t>2,4</t>
  </si>
  <si>
    <t>3,4</t>
  </si>
  <si>
    <t>LSD</t>
  </si>
  <si>
    <t>Reject the null, observed F is more extreme than the critical F.</t>
  </si>
  <si>
    <t>2-a</t>
  </si>
  <si>
    <r>
      <t>H</t>
    </r>
    <r>
      <rPr>
        <vertAlign val="sub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: </t>
    </r>
  </si>
  <si>
    <r>
      <t>H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</t>
    </r>
  </si>
  <si>
    <t>p-value of the statistic (F)</t>
  </si>
  <si>
    <t>Since p-value is smaller than the level of significance,  we reject the null.</t>
  </si>
  <si>
    <t>seven population means are compared.</t>
  </si>
  <si>
    <t>Since "between" has 6 df</t>
  </si>
  <si>
    <t>Clearly, 1 is better than 3; but can not say that 1 is also better than 2</t>
  </si>
  <si>
    <t>ANOVA Table</t>
  </si>
  <si>
    <t>The p-value for the observed F of 13.89 is virtually zero thus we can eject the null that the means are equal.</t>
  </si>
  <si>
    <t xml:space="preserve">We can state with confidence that all population means are unequal with the exception of </t>
  </si>
  <si>
    <t>a</t>
  </si>
  <si>
    <t>e)</t>
  </si>
  <si>
    <t>(or approximately 2.80 from the F-table)</t>
  </si>
  <si>
    <t>q = 4.0 ( with 4 and 18 df)</t>
  </si>
  <si>
    <r>
      <t>|X</t>
    </r>
    <r>
      <rPr>
        <b/>
        <vertAlign val="subscript"/>
        <sz val="11"/>
        <color indexed="8"/>
        <rFont val="Calibri"/>
        <family val="2"/>
      </rPr>
      <t>i</t>
    </r>
    <r>
      <rPr>
        <b/>
        <sz val="11"/>
        <color indexed="8"/>
        <rFont val="Calibri"/>
        <family val="2"/>
      </rPr>
      <t xml:space="preserve"> - X</t>
    </r>
    <r>
      <rPr>
        <b/>
        <vertAlign val="subscript"/>
        <sz val="11"/>
        <color indexed="8"/>
        <rFont val="Calibri"/>
        <family val="2"/>
      </rPr>
      <t>j</t>
    </r>
    <r>
      <rPr>
        <b/>
        <sz val="11"/>
        <color indexed="8"/>
        <rFont val="Calibri"/>
        <family val="2"/>
      </rPr>
      <t>|</t>
    </r>
  </si>
  <si>
    <r>
      <t>CR</t>
    </r>
    <r>
      <rPr>
        <b/>
        <vertAlign val="subscript"/>
        <sz val="11"/>
        <color indexed="8"/>
        <rFont val="Calibri"/>
        <family val="2"/>
      </rPr>
      <t>ij</t>
    </r>
  </si>
  <si>
    <r>
      <t>n</t>
    </r>
    <r>
      <rPr>
        <b/>
        <vertAlign val="subscript"/>
        <sz val="11"/>
        <color indexed="8"/>
        <rFont val="Calibri"/>
        <family val="2"/>
      </rPr>
      <t>j</t>
    </r>
  </si>
  <si>
    <r>
      <t>s</t>
    </r>
    <r>
      <rPr>
        <b/>
        <vertAlign val="subscript"/>
        <sz val="11"/>
        <color indexed="8"/>
        <rFont val="Calibri"/>
        <family val="2"/>
      </rPr>
      <t>j</t>
    </r>
    <r>
      <rPr>
        <b/>
        <vertAlign val="superscript"/>
        <sz val="11"/>
        <color indexed="8"/>
        <rFont val="Calibri"/>
        <family val="2"/>
      </rPr>
      <t>2</t>
    </r>
  </si>
  <si>
    <t>then we can say blocks took up some of the variation and thus helped with the test of the traetments</t>
  </si>
  <si>
    <r>
      <rPr>
        <sz val="11"/>
        <color indexed="8"/>
        <rFont val="Symbol"/>
        <family val="1"/>
        <charset val="2"/>
      </rPr>
      <t>m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indexed="8"/>
        <rFont val="Symbol"/>
        <family val="1"/>
        <charset val="2"/>
      </rPr>
      <t>m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. .= </t>
    </r>
    <r>
      <rPr>
        <sz val="11"/>
        <color indexed="8"/>
        <rFont val="Symbol"/>
        <family val="1"/>
        <charset val="2"/>
      </rPr>
      <t>m</t>
    </r>
    <r>
      <rPr>
        <vertAlign val="subscript"/>
        <sz val="11"/>
        <color indexed="8"/>
        <rFont val="Calibri"/>
        <family val="2"/>
      </rPr>
      <t>8</t>
    </r>
  </si>
  <si>
    <r>
      <t>We see that the observed F for rows(blocks), 46.88 is greater that the Critical value of 2.48,  thus we reject H</t>
    </r>
    <r>
      <rPr>
        <vertAlign val="subscript"/>
        <sz val="11"/>
        <color indexed="8"/>
        <rFont val="Calibri"/>
        <family val="2"/>
      </rPr>
      <t>o</t>
    </r>
  </si>
  <si>
    <r>
      <rPr>
        <sz val="11"/>
        <color indexed="8"/>
        <rFont val="Symbol"/>
        <family val="1"/>
        <charset val="2"/>
      </rPr>
      <t>m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indexed="8"/>
        <rFont val="Symbol"/>
        <family val="1"/>
        <charset val="2"/>
      </rPr>
      <t>m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indexed="8"/>
        <rFont val="Symbol"/>
        <family val="1"/>
        <charset val="2"/>
      </rPr>
      <t>m</t>
    </r>
    <r>
      <rPr>
        <vertAlign val="sub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indexed="8"/>
        <rFont val="Symbol"/>
        <family val="1"/>
        <charset val="2"/>
      </rPr>
      <t>m</t>
    </r>
    <r>
      <rPr>
        <vertAlign val="subscript"/>
        <sz val="11"/>
        <color indexed="8"/>
        <rFont val="Calibri"/>
        <family val="2"/>
      </rPr>
      <t>4</t>
    </r>
  </si>
  <si>
    <r>
      <t>H</t>
    </r>
    <r>
      <rPr>
        <vertAlign val="sub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: </t>
    </r>
  </si>
  <si>
    <r>
      <t>H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</t>
    </r>
  </si>
  <si>
    <t xml:space="preserve"> (with t =</t>
  </si>
  <si>
    <t>)</t>
  </si>
  <si>
    <t>populations 1 and 3</t>
  </si>
  <si>
    <r>
      <t>|X</t>
    </r>
    <r>
      <rPr>
        <b/>
        <vertAlign val="subscript"/>
        <sz val="11"/>
        <color indexed="8"/>
        <rFont val="Calibri"/>
        <family val="2"/>
      </rPr>
      <t>i</t>
    </r>
    <r>
      <rPr>
        <b/>
        <sz val="11"/>
        <color indexed="8"/>
        <rFont val="Calibri"/>
        <family val="2"/>
      </rPr>
      <t xml:space="preserve"> - X</t>
    </r>
    <r>
      <rPr>
        <b/>
        <vertAlign val="subscript"/>
        <sz val="11"/>
        <color indexed="8"/>
        <rFont val="Calibri"/>
        <family val="2"/>
      </rPr>
      <t>j</t>
    </r>
    <r>
      <rPr>
        <b/>
        <sz val="11"/>
        <color indexed="8"/>
        <rFont val="Calibri"/>
        <family val="2"/>
      </rPr>
      <t>|</t>
    </r>
  </si>
  <si>
    <r>
      <t>Cr</t>
    </r>
    <r>
      <rPr>
        <b/>
        <vertAlign val="subscript"/>
        <sz val="11"/>
        <color indexed="8"/>
        <rFont val="Calibri"/>
        <family val="2"/>
      </rPr>
      <t>ij</t>
    </r>
  </si>
  <si>
    <t>q = 3.5 (approximately with 3 and 27 df)</t>
  </si>
  <si>
    <r>
      <t>F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</t>
    </r>
  </si>
  <si>
    <t xml:space="preserve">Observed </t>
  </si>
  <si>
    <t>Critical</t>
  </si>
  <si>
    <r>
      <t>F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</si>
  <si>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t>If we can reject the null here we will be concluding that blocking was necessary</t>
  </si>
  <si>
    <t xml:space="preserve">if we had not blocked the differences in the block (row) means would have been </t>
  </si>
  <si>
    <t>treated as error greatly undermining our ability to detect a real difference between the</t>
  </si>
  <si>
    <t>Treatments (columns)</t>
  </si>
  <si>
    <r>
      <t xml:space="preserve">Here we calculated the </t>
    </r>
    <r>
      <rPr>
        <i/>
        <sz val="11"/>
        <color theme="1"/>
        <rFont val="Calibri"/>
        <family val="2"/>
        <scheme val="minor"/>
      </rPr>
      <t>treatment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block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SS explicitly and obtained </t>
    </r>
    <r>
      <rPr>
        <i/>
        <sz val="11"/>
        <color theme="1"/>
        <rFont val="Calibri"/>
        <family val="2"/>
        <scheme val="minor"/>
      </rPr>
      <t>error</t>
    </r>
    <r>
      <rPr>
        <sz val="11"/>
        <color theme="1"/>
        <rFont val="Calibri"/>
        <family val="2"/>
        <scheme val="minor"/>
      </rPr>
      <t xml:space="preserve"> SS as the residual</t>
    </r>
  </si>
  <si>
    <t>and conclude that the blocks explained some of the variation in the data and thus was necessary (or using a better description it was helpful).</t>
  </si>
  <si>
    <t>q = 3.5, approximately with 3 and 27 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</si>
</sst>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9" fillId="0" borderId="2" xfId="0" applyFont="1" applyFill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0" fillId="0" borderId="0" xfId="0" quotePrefix="1" applyAlignment="1">
      <alignment horizontal="right"/>
    </xf>
    <xf numFmtId="0" fontId="0" fillId="0" borderId="3" xfId="0" applyBorder="1"/>
    <xf numFmtId="0" fontId="7" fillId="0" borderId="3" xfId="0" applyFont="1" applyBorder="1"/>
    <xf numFmtId="0" fontId="12" fillId="0" borderId="0" xfId="0" applyFont="1"/>
    <xf numFmtId="0" fontId="13" fillId="0" borderId="0" xfId="0" applyFont="1"/>
    <xf numFmtId="0" fontId="13" fillId="0" borderId="3" xfId="0" applyFont="1" applyBorder="1"/>
    <xf numFmtId="0" fontId="0" fillId="0" borderId="0" xfId="0" applyAlignment="1">
      <alignment horizontal="left"/>
    </xf>
    <xf numFmtId="0" fontId="0" fillId="0" borderId="4" xfId="0" applyBorder="1"/>
    <xf numFmtId="0" fontId="14" fillId="0" borderId="0" xfId="0" applyFont="1"/>
    <xf numFmtId="0" fontId="15" fillId="0" borderId="0" xfId="0" applyFont="1"/>
    <xf numFmtId="0" fontId="11" fillId="3" borderId="0" xfId="0" applyFont="1" applyFill="1"/>
    <xf numFmtId="0" fontId="0" fillId="3" borderId="0" xfId="0" applyFill="1"/>
    <xf numFmtId="0" fontId="9" fillId="3" borderId="2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" xfId="0" applyFill="1" applyBorder="1" applyAlignment="1"/>
    <xf numFmtId="0" fontId="0" fillId="0" borderId="3" xfId="0" applyBorder="1" applyAlignment="1">
      <alignment horizontal="right"/>
    </xf>
    <xf numFmtId="0" fontId="11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0" fillId="0" borderId="3" xfId="0" applyNumberFormat="1" applyBorder="1"/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5" fontId="0" fillId="0" borderId="4" xfId="0" applyNumberFormat="1" applyBorder="1"/>
    <xf numFmtId="166" fontId="0" fillId="0" borderId="4" xfId="0" applyNumberFormat="1" applyBorder="1"/>
    <xf numFmtId="165" fontId="6" fillId="2" borderId="4" xfId="1" applyNumberFormat="1" applyBorder="1"/>
    <xf numFmtId="2" fontId="0" fillId="0" borderId="0" xfId="0" applyNumberFormat="1"/>
    <xf numFmtId="2" fontId="0" fillId="0" borderId="3" xfId="0" applyNumberForma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right"/>
    </xf>
    <xf numFmtId="0" fontId="0" fillId="3" borderId="4" xfId="0" applyFill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N22" sqref="N22"/>
    </sheetView>
  </sheetViews>
  <sheetFormatPr defaultRowHeight="15" x14ac:dyDescent="0.25"/>
  <sheetData>
    <row r="1" spans="1:5" x14ac:dyDescent="0.25">
      <c r="A1" s="10" t="s">
        <v>97</v>
      </c>
    </row>
    <row r="2" spans="1:5" x14ac:dyDescent="0.25">
      <c r="A2" t="s">
        <v>27</v>
      </c>
      <c r="B2" t="s">
        <v>25</v>
      </c>
    </row>
    <row r="3" spans="1:5" x14ac:dyDescent="0.25">
      <c r="A3" t="s">
        <v>26</v>
      </c>
      <c r="B3" t="s">
        <v>9</v>
      </c>
    </row>
    <row r="5" spans="1:5" ht="18" x14ac:dyDescent="0.35">
      <c r="A5" s="10" t="s">
        <v>28</v>
      </c>
      <c r="B5" t="s">
        <v>129</v>
      </c>
      <c r="C5" t="s">
        <v>128</v>
      </c>
      <c r="D5">
        <v>9.48</v>
      </c>
    </row>
    <row r="6" spans="1:5" ht="18" x14ac:dyDescent="0.35">
      <c r="B6" t="s">
        <v>130</v>
      </c>
      <c r="C6" t="s">
        <v>131</v>
      </c>
      <c r="D6">
        <f>FINV(0.05,2,27)</f>
        <v>3.3541308285291991</v>
      </c>
    </row>
    <row r="7" spans="1:5" x14ac:dyDescent="0.25">
      <c r="B7" t="s">
        <v>96</v>
      </c>
    </row>
    <row r="9" spans="1:5" x14ac:dyDescent="0.25">
      <c r="A9" s="10" t="s">
        <v>29</v>
      </c>
      <c r="B9" t="s">
        <v>127</v>
      </c>
    </row>
    <row r="11" spans="1:5" ht="18" x14ac:dyDescent="0.35">
      <c r="B11" s="31" t="s">
        <v>30</v>
      </c>
      <c r="C11" s="31" t="s">
        <v>125</v>
      </c>
      <c r="D11" s="31" t="s">
        <v>126</v>
      </c>
      <c r="E11" s="31" t="s">
        <v>34</v>
      </c>
    </row>
    <row r="12" spans="1:5" x14ac:dyDescent="0.25">
      <c r="B12" s="11" t="s">
        <v>31</v>
      </c>
      <c r="C12">
        <v>10.4</v>
      </c>
      <c r="D12">
        <f>3.5*SQRT((29.42/2)*(1/10+1/10))</f>
        <v>6.0032907642392273</v>
      </c>
      <c r="E12" s="1" t="s">
        <v>35</v>
      </c>
    </row>
    <row r="13" spans="1:5" x14ac:dyDescent="0.25">
      <c r="B13" s="1" t="s">
        <v>32</v>
      </c>
      <c r="C13">
        <v>1.96</v>
      </c>
      <c r="D13">
        <f>3.5*SQRT((29.42/2)*(1/10+1/10))</f>
        <v>6.0032907642392273</v>
      </c>
      <c r="E13" s="1" t="s">
        <v>36</v>
      </c>
    </row>
    <row r="14" spans="1:5" x14ac:dyDescent="0.25">
      <c r="B14" s="26" t="s">
        <v>33</v>
      </c>
      <c r="C14" s="12">
        <v>8.18</v>
      </c>
      <c r="D14" s="12">
        <f>3.5*SQRT((29.42/2)*(1/10+1/10))</f>
        <v>6.0032907642392273</v>
      </c>
      <c r="E14" s="26" t="s">
        <v>37</v>
      </c>
    </row>
    <row r="15" spans="1:5" x14ac:dyDescent="0.25">
      <c r="B15" t="s">
        <v>38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20" sqref="H20"/>
    </sheetView>
  </sheetViews>
  <sheetFormatPr defaultRowHeight="15" x14ac:dyDescent="0.25"/>
  <sheetData>
    <row r="1" spans="1:7" x14ac:dyDescent="0.25">
      <c r="A1" s="10">
        <v>4</v>
      </c>
    </row>
    <row r="2" spans="1:7" x14ac:dyDescent="0.25">
      <c r="A2" s="10" t="s">
        <v>39</v>
      </c>
      <c r="B2" t="s">
        <v>40</v>
      </c>
      <c r="C2" t="s">
        <v>102</v>
      </c>
      <c r="G2" t="s">
        <v>103</v>
      </c>
    </row>
    <row r="4" spans="1:7" x14ac:dyDescent="0.25">
      <c r="A4" s="10" t="s">
        <v>41</v>
      </c>
      <c r="B4" s="3" t="s">
        <v>42</v>
      </c>
      <c r="C4" s="2" t="s">
        <v>2</v>
      </c>
      <c r="D4" s="2" t="s">
        <v>5</v>
      </c>
      <c r="E4" s="2" t="s">
        <v>4</v>
      </c>
      <c r="F4" s="2" t="s">
        <v>6</v>
      </c>
    </row>
    <row r="5" spans="1:7" x14ac:dyDescent="0.25">
      <c r="B5" s="3" t="s">
        <v>1</v>
      </c>
      <c r="C5">
        <v>1745</v>
      </c>
      <c r="D5" s="15">
        <f>D7-D6</f>
        <v>6</v>
      </c>
      <c r="E5" s="15">
        <f>C5/D5</f>
        <v>290.83333333333331</v>
      </c>
      <c r="F5" s="15">
        <f>E5/E6</f>
        <v>14.666946837570919</v>
      </c>
    </row>
    <row r="6" spans="1:7" x14ac:dyDescent="0.25">
      <c r="B6" s="13" t="s">
        <v>3</v>
      </c>
      <c r="C6" s="16">
        <f>C7-C5</f>
        <v>4759</v>
      </c>
      <c r="D6" s="12">
        <v>240</v>
      </c>
      <c r="E6" s="16">
        <f>C6/D6</f>
        <v>19.829166666666666</v>
      </c>
      <c r="F6" s="12"/>
    </row>
    <row r="7" spans="1:7" x14ac:dyDescent="0.25">
      <c r="B7" s="3" t="s">
        <v>43</v>
      </c>
      <c r="C7">
        <v>6504</v>
      </c>
      <c r="D7">
        <v>246</v>
      </c>
    </row>
    <row r="9" spans="1:7" ht="18" x14ac:dyDescent="0.35">
      <c r="A9" s="10" t="s">
        <v>44</v>
      </c>
      <c r="B9" t="s">
        <v>48</v>
      </c>
      <c r="C9" t="s">
        <v>45</v>
      </c>
    </row>
    <row r="10" spans="1:7" ht="18" x14ac:dyDescent="0.35">
      <c r="B10" t="s">
        <v>49</v>
      </c>
      <c r="C10" t="s">
        <v>9</v>
      </c>
    </row>
    <row r="12" spans="1:7" ht="18" x14ac:dyDescent="0.35">
      <c r="A12" s="10" t="s">
        <v>46</v>
      </c>
      <c r="B12" t="s">
        <v>47</v>
      </c>
      <c r="C12">
        <f>FINV(0.01,6,240)</f>
        <v>2.8778337079642315</v>
      </c>
      <c r="E12" t="s">
        <v>110</v>
      </c>
    </row>
    <row r="13" spans="1:7" ht="18" x14ac:dyDescent="0.35">
      <c r="B13" t="s">
        <v>50</v>
      </c>
      <c r="C13" t="s">
        <v>51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2" sqref="K32"/>
    </sheetView>
  </sheetViews>
  <sheetFormatPr defaultRowHeight="15" x14ac:dyDescent="0.25"/>
  <cols>
    <col min="3" max="4" width="10.5703125" bestFit="1" customWidth="1"/>
    <col min="5" max="5" width="12.140625" bestFit="1" customWidth="1"/>
    <col min="6" max="6" width="10.5703125" bestFit="1" customWidth="1"/>
    <col min="8" max="8" width="10.5703125" bestFit="1" customWidth="1"/>
  </cols>
  <sheetData>
    <row r="1" spans="1:11" x14ac:dyDescent="0.25">
      <c r="A1" s="10">
        <v>6</v>
      </c>
    </row>
    <row r="2" spans="1:11" x14ac:dyDescent="0.25">
      <c r="C2" s="31" t="s">
        <v>60</v>
      </c>
      <c r="D2" s="31" t="s">
        <v>61</v>
      </c>
      <c r="E2" s="31" t="s">
        <v>62</v>
      </c>
      <c r="F2" s="31" t="s">
        <v>63</v>
      </c>
    </row>
    <row r="3" spans="1:11" x14ac:dyDescent="0.25">
      <c r="C3">
        <v>20.9</v>
      </c>
      <c r="D3">
        <v>28.2</v>
      </c>
      <c r="E3">
        <v>17.8</v>
      </c>
      <c r="F3">
        <v>21.2</v>
      </c>
    </row>
    <row r="4" spans="1:11" x14ac:dyDescent="0.25">
      <c r="C4">
        <v>27.2</v>
      </c>
      <c r="D4">
        <v>26.2</v>
      </c>
      <c r="E4">
        <v>15.9</v>
      </c>
      <c r="F4">
        <v>23.9</v>
      </c>
    </row>
    <row r="5" spans="1:11" x14ac:dyDescent="0.25">
      <c r="C5">
        <v>26.6</v>
      </c>
      <c r="D5">
        <v>21.6</v>
      </c>
      <c r="E5">
        <v>18.399999999999999</v>
      </c>
      <c r="F5">
        <v>19.5</v>
      </c>
    </row>
    <row r="6" spans="1:11" x14ac:dyDescent="0.25">
      <c r="C6">
        <v>22.1</v>
      </c>
      <c r="D6">
        <v>29.7</v>
      </c>
      <c r="E6">
        <v>20.2</v>
      </c>
      <c r="F6">
        <v>17.399999999999999</v>
      </c>
    </row>
    <row r="7" spans="1:11" x14ac:dyDescent="0.25">
      <c r="C7">
        <v>25.3</v>
      </c>
      <c r="D7">
        <v>30.3</v>
      </c>
      <c r="E7">
        <v>14.1</v>
      </c>
    </row>
    <row r="8" spans="1:11" x14ac:dyDescent="0.25">
      <c r="C8">
        <v>30.1</v>
      </c>
      <c r="D8">
        <v>25.9</v>
      </c>
    </row>
    <row r="9" spans="1:11" x14ac:dyDescent="0.25">
      <c r="C9" s="12">
        <v>23.7</v>
      </c>
      <c r="D9" s="12"/>
      <c r="E9" s="12"/>
      <c r="F9" s="12"/>
    </row>
    <row r="10" spans="1:11" ht="18" x14ac:dyDescent="0.35">
      <c r="B10" s="3" t="s">
        <v>114</v>
      </c>
      <c r="C10" s="4">
        <v>7</v>
      </c>
      <c r="D10" s="4">
        <v>6</v>
      </c>
      <c r="E10" s="4">
        <v>5</v>
      </c>
      <c r="F10" s="4">
        <v>4</v>
      </c>
    </row>
    <row r="11" spans="1:11" x14ac:dyDescent="0.25">
      <c r="B11" s="3" t="s">
        <v>0</v>
      </c>
      <c r="C11" s="29">
        <f>AVERAGE(C3:C9)</f>
        <v>25.128571428571426</v>
      </c>
      <c r="D11" s="29">
        <f>AVERAGE(D3:D8)</f>
        <v>26.983333333333334</v>
      </c>
      <c r="E11" s="29">
        <f>AVERAGE(E3:E7)</f>
        <v>17.279999999999998</v>
      </c>
      <c r="F11" s="29">
        <f>AVERAGE(F3:F6)</f>
        <v>20.5</v>
      </c>
      <c r="G11" s="29">
        <f>AVERAGE(C3:C9,D3:D8,E3:E7,F3:F6)</f>
        <v>23.009090909090904</v>
      </c>
    </row>
    <row r="12" spans="1:11" ht="18.75" x14ac:dyDescent="0.35">
      <c r="B12" s="3" t="s">
        <v>115</v>
      </c>
      <c r="C12" s="29">
        <f>VAR(C3:C9)</f>
        <v>10.049047619047846</v>
      </c>
      <c r="D12" s="29">
        <f>VAR(D3:D8)</f>
        <v>10.125666666666621</v>
      </c>
      <c r="E12" s="29">
        <f>VAR(E3:E7)</f>
        <v>5.5170000000000528</v>
      </c>
      <c r="F12" s="29">
        <f>VAR(F3:F6)</f>
        <v>7.5533333333332848</v>
      </c>
      <c r="G12" s="29"/>
    </row>
    <row r="13" spans="1:11" x14ac:dyDescent="0.25">
      <c r="H13" s="32" t="s">
        <v>2</v>
      </c>
      <c r="I13" s="32" t="s">
        <v>5</v>
      </c>
      <c r="J13" s="32" t="s">
        <v>4</v>
      </c>
      <c r="K13" s="32" t="s">
        <v>6</v>
      </c>
    </row>
    <row r="14" spans="1:11" x14ac:dyDescent="0.25">
      <c r="B14" s="3" t="s">
        <v>1</v>
      </c>
      <c r="C14" s="28">
        <f>(C11-$G$11)^2*C10</f>
        <v>31.445383707201962</v>
      </c>
      <c r="D14" s="28">
        <f>(D11-$G$11)^2*D10</f>
        <v>94.767617079890073</v>
      </c>
      <c r="E14" s="28">
        <f>(E11-$G$11)^2*E10</f>
        <v>164.11241322314038</v>
      </c>
      <c r="F14" s="28">
        <f>(F11-$G$11)^2*F10</f>
        <v>25.182148760330485</v>
      </c>
      <c r="H14" s="33">
        <f>SUM(C14:F14)</f>
        <v>315.50756277056291</v>
      </c>
      <c r="I14" s="18">
        <v>3</v>
      </c>
      <c r="J14" s="34">
        <f>H14/I14</f>
        <v>105.16918759018763</v>
      </c>
      <c r="K14" s="35">
        <f>J14/J15</f>
        <v>12.162144861397648</v>
      </c>
    </row>
    <row r="15" spans="1:11" x14ac:dyDescent="0.25">
      <c r="B15" s="3" t="s">
        <v>3</v>
      </c>
      <c r="C15" s="28">
        <f>(C10-1)*C12</f>
        <v>60.294285714287071</v>
      </c>
      <c r="D15" s="28">
        <f>(D10-1)*D12</f>
        <v>50.628333333333103</v>
      </c>
      <c r="E15" s="28">
        <f>(E10-1)*E12</f>
        <v>22.068000000000211</v>
      </c>
      <c r="F15" s="28">
        <f>(F10-1)*F12</f>
        <v>22.659999999999854</v>
      </c>
      <c r="H15" s="33">
        <f>SUM(C15:F15)</f>
        <v>155.65061904762024</v>
      </c>
      <c r="I15" s="18">
        <f>22-4</f>
        <v>18</v>
      </c>
      <c r="J15" s="34">
        <f>H15/I15</f>
        <v>8.6472566137566798</v>
      </c>
      <c r="K15" s="18"/>
    </row>
    <row r="18" spans="1:6" ht="18" x14ac:dyDescent="0.35">
      <c r="A18" s="27" t="s">
        <v>108</v>
      </c>
      <c r="B18" t="s">
        <v>98</v>
      </c>
      <c r="C18" t="s">
        <v>8</v>
      </c>
    </row>
    <row r="19" spans="1:6" ht="18" x14ac:dyDescent="0.35">
      <c r="B19" t="s">
        <v>99</v>
      </c>
      <c r="C19" t="s">
        <v>9</v>
      </c>
    </row>
    <row r="20" spans="1:6" x14ac:dyDescent="0.25">
      <c r="B20" s="5" t="s">
        <v>10</v>
      </c>
    </row>
    <row r="21" spans="1:6" x14ac:dyDescent="0.25">
      <c r="C21" t="s">
        <v>100</v>
      </c>
      <c r="F21">
        <f>FDIST(K14,I14,I15)</f>
        <v>1.384103440510659E-4</v>
      </c>
    </row>
    <row r="22" spans="1:6" x14ac:dyDescent="0.25">
      <c r="C22" t="s">
        <v>101</v>
      </c>
    </row>
    <row r="24" spans="1:6" x14ac:dyDescent="0.25">
      <c r="A24" s="27" t="s">
        <v>28</v>
      </c>
      <c r="C24" t="s">
        <v>111</v>
      </c>
    </row>
    <row r="25" spans="1:6" ht="18" x14ac:dyDescent="0.35">
      <c r="C25" s="31" t="s">
        <v>30</v>
      </c>
      <c r="D25" s="31" t="s">
        <v>112</v>
      </c>
      <c r="E25" s="31" t="s">
        <v>113</v>
      </c>
      <c r="F25" s="31" t="s">
        <v>34</v>
      </c>
    </row>
    <row r="26" spans="1:6" x14ac:dyDescent="0.25">
      <c r="C26" s="11" t="s">
        <v>31</v>
      </c>
      <c r="D26" s="29">
        <f>ABS(C11-D11)</f>
        <v>1.8547619047619079</v>
      </c>
      <c r="E26" s="29">
        <f>4*SQRT(J15/2*(1/7+1/6))</f>
        <v>4.6273377305054577</v>
      </c>
      <c r="F26" s="1" t="s">
        <v>36</v>
      </c>
    </row>
    <row r="27" spans="1:6" x14ac:dyDescent="0.25">
      <c r="C27" s="1" t="s">
        <v>32</v>
      </c>
      <c r="D27" s="29">
        <f>ABS(C11-E11)</f>
        <v>7.8485714285714288</v>
      </c>
      <c r="E27" s="29">
        <f>4*SQRT(J15/2*(1/7+1/5))</f>
        <v>4.8701323974981605</v>
      </c>
      <c r="F27" s="1" t="s">
        <v>35</v>
      </c>
    </row>
    <row r="28" spans="1:6" x14ac:dyDescent="0.25">
      <c r="C28" s="1" t="s">
        <v>92</v>
      </c>
      <c r="D28" s="29">
        <f>ABS(C11-F11)</f>
        <v>4.6285714285714263</v>
      </c>
      <c r="E28" s="29">
        <f>4*SQRT(J15/2*(1/7+1/4))</f>
        <v>5.2131652778963238</v>
      </c>
      <c r="F28" s="1" t="s">
        <v>36</v>
      </c>
    </row>
    <row r="29" spans="1:6" x14ac:dyDescent="0.25">
      <c r="C29" s="1" t="s">
        <v>33</v>
      </c>
      <c r="D29" s="29">
        <f>ABS(D11-E11)</f>
        <v>9.7033333333333367</v>
      </c>
      <c r="E29" s="29">
        <f>4*SQRT(J15/2*(1/6+1/5))</f>
        <v>5.0363961388099323</v>
      </c>
      <c r="F29" s="1" t="s">
        <v>35</v>
      </c>
    </row>
    <row r="30" spans="1:6" x14ac:dyDescent="0.25">
      <c r="C30" s="1" t="s">
        <v>93</v>
      </c>
      <c r="D30" s="29">
        <f>ABS(D11-F11)</f>
        <v>6.4833333333333343</v>
      </c>
      <c r="E30" s="29">
        <f>4*SQRT(J15/2*(1/6+1/4))</f>
        <v>5.3688163232245394</v>
      </c>
      <c r="F30" s="1" t="s">
        <v>35</v>
      </c>
    </row>
    <row r="31" spans="1:6" x14ac:dyDescent="0.25">
      <c r="C31" s="26" t="s">
        <v>94</v>
      </c>
      <c r="D31" s="30">
        <f>ABS(E11-F11)</f>
        <v>3.2200000000000024</v>
      </c>
      <c r="E31" s="30">
        <f>4*SQRT(J15/2*(1/5+1/4))</f>
        <v>5.5794375889980206</v>
      </c>
      <c r="F31" s="26" t="s">
        <v>36</v>
      </c>
    </row>
  </sheetData>
  <pageMargins left="0.7" right="0.7" top="0.75" bottom="0.75" header="0.3" footer="0.3"/>
  <pageSetup orientation="portrait" horizontalDpi="0" verticalDpi="0" r:id="rId1"/>
  <ignoredErrors>
    <ignoredError sqref="C11:C12 G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Q10" sqref="Q10"/>
    </sheetView>
  </sheetViews>
  <sheetFormatPr defaultRowHeight="15" x14ac:dyDescent="0.25"/>
  <cols>
    <col min="2" max="2" width="11.42578125" customWidth="1"/>
  </cols>
  <sheetData>
    <row r="1" spans="1:11" x14ac:dyDescent="0.25">
      <c r="A1" s="38">
        <v>10</v>
      </c>
    </row>
    <row r="2" spans="1:11" x14ac:dyDescent="0.25">
      <c r="C2" s="31" t="s">
        <v>52</v>
      </c>
      <c r="D2" s="31" t="s">
        <v>53</v>
      </c>
      <c r="E2" s="31" t="s">
        <v>54</v>
      </c>
    </row>
    <row r="3" spans="1:11" x14ac:dyDescent="0.25">
      <c r="C3">
        <v>14722</v>
      </c>
      <c r="D3">
        <v>13649</v>
      </c>
      <c r="E3">
        <v>13296</v>
      </c>
      <c r="G3" s="38" t="s">
        <v>55</v>
      </c>
      <c r="H3" t="s">
        <v>56</v>
      </c>
    </row>
    <row r="4" spans="1:11" x14ac:dyDescent="0.25">
      <c r="C4">
        <v>14699</v>
      </c>
      <c r="D4">
        <v>13592</v>
      </c>
      <c r="E4">
        <v>13262</v>
      </c>
      <c r="G4" s="38"/>
      <c r="H4" t="s">
        <v>57</v>
      </c>
    </row>
    <row r="5" spans="1:11" x14ac:dyDescent="0.25">
      <c r="C5">
        <v>12627</v>
      </c>
      <c r="D5">
        <v>11788</v>
      </c>
      <c r="E5">
        <v>11552</v>
      </c>
      <c r="G5" s="38"/>
    </row>
    <row r="6" spans="1:11" x14ac:dyDescent="0.25">
      <c r="C6">
        <v>13010</v>
      </c>
      <c r="D6">
        <v>12623</v>
      </c>
      <c r="E6">
        <v>11036</v>
      </c>
      <c r="G6" s="38" t="s">
        <v>58</v>
      </c>
      <c r="H6" t="s">
        <v>138</v>
      </c>
    </row>
    <row r="7" spans="1:11" ht="18" x14ac:dyDescent="0.35">
      <c r="C7">
        <v>13570</v>
      </c>
      <c r="D7">
        <v>14552</v>
      </c>
      <c r="E7">
        <v>12978</v>
      </c>
      <c r="G7" s="39"/>
      <c r="H7" s="31" t="s">
        <v>30</v>
      </c>
      <c r="I7" s="31" t="s">
        <v>112</v>
      </c>
      <c r="J7" s="31" t="s">
        <v>113</v>
      </c>
      <c r="K7" s="31" t="s">
        <v>34</v>
      </c>
    </row>
    <row r="8" spans="1:11" x14ac:dyDescent="0.25">
      <c r="C8">
        <v>14217</v>
      </c>
      <c r="D8">
        <v>13441</v>
      </c>
      <c r="E8">
        <v>12170</v>
      </c>
      <c r="H8" s="1" t="s">
        <v>31</v>
      </c>
      <c r="I8" s="36">
        <f>ABS(E17-E18)</f>
        <v>708</v>
      </c>
      <c r="J8" s="36">
        <f>3.5*SQRT(($E$25/2)*0.2)</f>
        <v>954.24038055873996</v>
      </c>
      <c r="K8" s="1" t="s">
        <v>36</v>
      </c>
    </row>
    <row r="9" spans="1:11" x14ac:dyDescent="0.25">
      <c r="C9">
        <v>13687</v>
      </c>
      <c r="D9">
        <v>13404</v>
      </c>
      <c r="E9">
        <v>12674</v>
      </c>
      <c r="H9" s="1" t="s">
        <v>32</v>
      </c>
      <c r="I9" s="36">
        <f>ABS(E17-E19)</f>
        <v>1455.9000000000015</v>
      </c>
      <c r="J9" s="36">
        <f t="shared" ref="J9:J10" si="0">3.5*SQRT(($E$25/2)*0.2)</f>
        <v>954.24038055873996</v>
      </c>
      <c r="K9" s="1" t="s">
        <v>35</v>
      </c>
    </row>
    <row r="10" spans="1:11" x14ac:dyDescent="0.25">
      <c r="C10">
        <v>13465</v>
      </c>
      <c r="D10">
        <v>13427</v>
      </c>
      <c r="E10">
        <v>11851</v>
      </c>
      <c r="H10" s="26" t="s">
        <v>33</v>
      </c>
      <c r="I10" s="37">
        <f>ABS(E18-E19)</f>
        <v>747.90000000000146</v>
      </c>
      <c r="J10" s="36">
        <f t="shared" si="0"/>
        <v>954.24038055873996</v>
      </c>
      <c r="K10" s="26" t="s">
        <v>36</v>
      </c>
    </row>
    <row r="11" spans="1:11" x14ac:dyDescent="0.25">
      <c r="C11">
        <v>14786</v>
      </c>
      <c r="D11">
        <v>12049</v>
      </c>
      <c r="E11">
        <v>12342</v>
      </c>
    </row>
    <row r="12" spans="1:11" x14ac:dyDescent="0.25">
      <c r="C12" s="12">
        <v>12494</v>
      </c>
      <c r="D12" s="12">
        <v>11672</v>
      </c>
      <c r="E12" s="12">
        <v>11557</v>
      </c>
      <c r="H12" s="17" t="s">
        <v>59</v>
      </c>
    </row>
    <row r="13" spans="1:11" x14ac:dyDescent="0.25">
      <c r="H13" s="17" t="s">
        <v>104</v>
      </c>
    </row>
    <row r="14" spans="1:11" x14ac:dyDescent="0.25">
      <c r="B14" s="3" t="s">
        <v>11</v>
      </c>
      <c r="C14" s="3"/>
    </row>
    <row r="15" spans="1:11" ht="15.75" thickBot="1" x14ac:dyDescent="0.3">
      <c r="B15" t="s">
        <v>12</v>
      </c>
    </row>
    <row r="16" spans="1:11" x14ac:dyDescent="0.25">
      <c r="B16" s="8" t="s">
        <v>13</v>
      </c>
      <c r="C16" s="8" t="s">
        <v>14</v>
      </c>
      <c r="D16" s="8" t="s">
        <v>15</v>
      </c>
      <c r="E16" s="8" t="s">
        <v>16</v>
      </c>
      <c r="F16" s="8" t="s">
        <v>17</v>
      </c>
    </row>
    <row r="17" spans="2:8" x14ac:dyDescent="0.25">
      <c r="B17" s="6" t="s">
        <v>52</v>
      </c>
      <c r="C17" s="6">
        <v>10</v>
      </c>
      <c r="D17" s="6">
        <v>137277</v>
      </c>
      <c r="E17" s="6">
        <v>13727.7</v>
      </c>
      <c r="F17" s="6">
        <v>737295.12222221168</v>
      </c>
    </row>
    <row r="18" spans="2:8" x14ac:dyDescent="0.25">
      <c r="B18" s="6" t="s">
        <v>53</v>
      </c>
      <c r="C18" s="6">
        <v>10</v>
      </c>
      <c r="D18" s="6">
        <v>130197</v>
      </c>
      <c r="E18" s="6">
        <v>13019.7</v>
      </c>
      <c r="F18" s="6">
        <v>888396.89999998943</v>
      </c>
    </row>
    <row r="19" spans="2:8" ht="15.75" thickBot="1" x14ac:dyDescent="0.3">
      <c r="B19" s="7" t="s">
        <v>54</v>
      </c>
      <c r="C19" s="7">
        <v>10</v>
      </c>
      <c r="D19" s="7">
        <v>122718</v>
      </c>
      <c r="E19" s="7">
        <v>12271.8</v>
      </c>
      <c r="F19" s="7">
        <v>604286.84444443381</v>
      </c>
    </row>
    <row r="22" spans="2:8" ht="15.75" thickBot="1" x14ac:dyDescent="0.3">
      <c r="B22" t="s">
        <v>18</v>
      </c>
    </row>
    <row r="23" spans="2:8" x14ac:dyDescent="0.25">
      <c r="B23" s="8" t="s">
        <v>19</v>
      </c>
      <c r="C23" s="8" t="s">
        <v>2</v>
      </c>
      <c r="D23" s="8" t="s">
        <v>5</v>
      </c>
      <c r="E23" s="8" t="s">
        <v>4</v>
      </c>
      <c r="F23" s="8" t="s">
        <v>6</v>
      </c>
      <c r="G23" s="8" t="s">
        <v>20</v>
      </c>
      <c r="H23" s="8" t="s">
        <v>21</v>
      </c>
    </row>
    <row r="24" spans="2:8" x14ac:dyDescent="0.25">
      <c r="B24" s="6" t="s">
        <v>22</v>
      </c>
      <c r="C24" s="6">
        <v>10600877.399999995</v>
      </c>
      <c r="D24" s="6">
        <v>2</v>
      </c>
      <c r="E24" s="6">
        <v>5300438.6999999974</v>
      </c>
      <c r="F24" s="6">
        <v>7.1307025988856125</v>
      </c>
      <c r="G24" s="6">
        <v>3.2626209778077713E-3</v>
      </c>
      <c r="H24" s="6">
        <v>5.4881177684786255</v>
      </c>
    </row>
    <row r="25" spans="2:8" x14ac:dyDescent="0.25">
      <c r="B25" s="6" t="s">
        <v>23</v>
      </c>
      <c r="C25" s="6">
        <v>20069809.800000001</v>
      </c>
      <c r="D25" s="6">
        <v>27</v>
      </c>
      <c r="E25" s="6">
        <v>743326.2888888889</v>
      </c>
      <c r="F25" s="6"/>
      <c r="G25" s="6"/>
      <c r="H25" s="6"/>
    </row>
    <row r="26" spans="2:8" x14ac:dyDescent="0.25">
      <c r="B26" s="6"/>
      <c r="C26" s="6"/>
      <c r="D26" s="6"/>
      <c r="E26" s="6"/>
      <c r="F26" s="6"/>
      <c r="G26" s="6"/>
      <c r="H26" s="6"/>
    </row>
    <row r="27" spans="2:8" ht="15.75" thickBot="1" x14ac:dyDescent="0.3">
      <c r="B27" s="7" t="s">
        <v>24</v>
      </c>
      <c r="C27" s="7">
        <v>30670687.199999996</v>
      </c>
      <c r="D27" s="7">
        <v>29</v>
      </c>
      <c r="E27" s="7"/>
      <c r="F27" s="7"/>
      <c r="G27" s="7"/>
      <c r="H2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38" workbookViewId="0">
      <selection activeCell="I64" sqref="I64"/>
    </sheetView>
  </sheetViews>
  <sheetFormatPr defaultRowHeight="15" x14ac:dyDescent="0.25"/>
  <sheetData>
    <row r="1" spans="1:19" x14ac:dyDescent="0.25">
      <c r="A1" s="10">
        <v>18</v>
      </c>
    </row>
    <row r="2" spans="1:19" x14ac:dyDescent="0.25">
      <c r="A2" s="10" t="s">
        <v>39</v>
      </c>
      <c r="B2" t="s">
        <v>84</v>
      </c>
      <c r="E2" t="s">
        <v>7</v>
      </c>
      <c r="F2" t="s">
        <v>8</v>
      </c>
      <c r="H2" t="s">
        <v>88</v>
      </c>
    </row>
    <row r="3" spans="1:19" x14ac:dyDescent="0.25">
      <c r="E3" t="s">
        <v>26</v>
      </c>
      <c r="F3" t="s">
        <v>9</v>
      </c>
    </row>
    <row r="5" spans="1:19" x14ac:dyDescent="0.25">
      <c r="A5" s="10"/>
      <c r="B5" t="s">
        <v>85</v>
      </c>
      <c r="E5" t="s">
        <v>7</v>
      </c>
      <c r="F5" t="s">
        <v>86</v>
      </c>
      <c r="H5" t="s">
        <v>87</v>
      </c>
      <c r="J5" t="s">
        <v>132</v>
      </c>
    </row>
    <row r="6" spans="1:19" x14ac:dyDescent="0.25">
      <c r="E6" t="s">
        <v>26</v>
      </c>
      <c r="F6" t="s">
        <v>9</v>
      </c>
      <c r="J6" t="s">
        <v>133</v>
      </c>
    </row>
    <row r="7" spans="1:19" x14ac:dyDescent="0.25">
      <c r="J7" t="s">
        <v>134</v>
      </c>
    </row>
    <row r="8" spans="1:19" x14ac:dyDescent="0.25">
      <c r="A8" s="10" t="s">
        <v>58</v>
      </c>
      <c r="J8" t="s">
        <v>135</v>
      </c>
    </row>
    <row r="9" spans="1:19" x14ac:dyDescent="0.25">
      <c r="A9" s="10" t="s">
        <v>72</v>
      </c>
      <c r="B9" s="9"/>
    </row>
    <row r="10" spans="1:19" x14ac:dyDescent="0.25">
      <c r="B10" s="2" t="s">
        <v>60</v>
      </c>
      <c r="C10" s="2" t="s">
        <v>61</v>
      </c>
      <c r="D10" s="2" t="s">
        <v>62</v>
      </c>
      <c r="E10" s="2" t="s">
        <v>63</v>
      </c>
      <c r="F10" s="2" t="s">
        <v>73</v>
      </c>
    </row>
    <row r="11" spans="1:19" x14ac:dyDescent="0.25">
      <c r="A11" s="3" t="s">
        <v>64</v>
      </c>
      <c r="B11" s="18">
        <v>56</v>
      </c>
      <c r="C11" s="18">
        <v>44</v>
      </c>
      <c r="D11" s="18">
        <v>57</v>
      </c>
      <c r="E11" s="18">
        <v>84</v>
      </c>
      <c r="F11" s="19">
        <f>AVERAGE(B11:E11)</f>
        <v>60.25</v>
      </c>
      <c r="G11">
        <f>(F11-$F$19)^2</f>
        <v>219.41015625</v>
      </c>
      <c r="I11" s="3" t="s">
        <v>74</v>
      </c>
      <c r="N11" s="3" t="s">
        <v>105</v>
      </c>
      <c r="O11" s="3"/>
    </row>
    <row r="12" spans="1:19" x14ac:dyDescent="0.25">
      <c r="A12" s="3" t="s">
        <v>65</v>
      </c>
      <c r="B12" s="18">
        <v>34</v>
      </c>
      <c r="C12" s="18">
        <v>30</v>
      </c>
      <c r="D12" s="18">
        <v>38</v>
      </c>
      <c r="E12" s="18">
        <v>50</v>
      </c>
      <c r="F12" s="19">
        <f t="shared" ref="F12:F18" si="0">AVERAGE(B12:E12)</f>
        <v>38</v>
      </c>
      <c r="G12">
        <f t="shared" ref="G12:G18" si="1">(F12-$F$19)^2</f>
        <v>55.31640625</v>
      </c>
      <c r="I12" s="18">
        <f t="shared" ref="I12:L19" si="2">(B11-$F$19)^2</f>
        <v>111.56640625</v>
      </c>
      <c r="J12" s="18">
        <f t="shared" si="2"/>
        <v>2.06640625</v>
      </c>
      <c r="K12" s="18">
        <f t="shared" si="2"/>
        <v>133.69140625</v>
      </c>
      <c r="L12" s="18">
        <f t="shared" si="2"/>
        <v>1487.06640625</v>
      </c>
      <c r="N12" s="40" t="s">
        <v>42</v>
      </c>
      <c r="O12" s="41" t="s">
        <v>2</v>
      </c>
      <c r="P12" s="41" t="s">
        <v>5</v>
      </c>
      <c r="Q12" s="41" t="s">
        <v>4</v>
      </c>
      <c r="R12" s="41" t="s">
        <v>6</v>
      </c>
      <c r="S12" s="41" t="s">
        <v>78</v>
      </c>
    </row>
    <row r="13" spans="1:19" x14ac:dyDescent="0.25">
      <c r="A13" s="3" t="s">
        <v>66</v>
      </c>
      <c r="B13" s="18">
        <v>50</v>
      </c>
      <c r="C13" s="18">
        <v>41</v>
      </c>
      <c r="D13" s="18">
        <v>48</v>
      </c>
      <c r="E13" s="18">
        <v>52</v>
      </c>
      <c r="F13" s="19">
        <f t="shared" si="0"/>
        <v>47.75</v>
      </c>
      <c r="G13">
        <f t="shared" si="1"/>
        <v>5.34765625</v>
      </c>
      <c r="I13" s="18">
        <f t="shared" si="2"/>
        <v>130.81640625</v>
      </c>
      <c r="J13" s="18">
        <f t="shared" si="2"/>
        <v>238.31640625</v>
      </c>
      <c r="K13" s="18">
        <f t="shared" si="2"/>
        <v>55.31640625</v>
      </c>
      <c r="L13" s="18">
        <f t="shared" si="2"/>
        <v>20.81640625</v>
      </c>
      <c r="N13" s="40" t="s">
        <v>75</v>
      </c>
      <c r="O13" s="42">
        <f>8*SUM(B20:E20)</f>
        <v>1158.625</v>
      </c>
      <c r="P13" s="42">
        <v>3</v>
      </c>
      <c r="Q13" s="42">
        <f>O13/P13</f>
        <v>386.20833333333331</v>
      </c>
      <c r="R13" s="42">
        <f>Q13/Q15</f>
        <v>13.890601584243203</v>
      </c>
      <c r="S13" s="42">
        <f>FINV(0.05,7,21)</f>
        <v>2.487577703722041</v>
      </c>
    </row>
    <row r="14" spans="1:19" x14ac:dyDescent="0.25">
      <c r="A14" s="3" t="s">
        <v>67</v>
      </c>
      <c r="B14" s="18">
        <v>19</v>
      </c>
      <c r="C14" s="18">
        <v>17</v>
      </c>
      <c r="D14" s="18">
        <v>21</v>
      </c>
      <c r="E14" s="18">
        <v>30</v>
      </c>
      <c r="F14" s="19">
        <f t="shared" si="0"/>
        <v>21.75</v>
      </c>
      <c r="G14">
        <f t="shared" si="1"/>
        <v>561.09765625</v>
      </c>
      <c r="I14" s="18">
        <f t="shared" si="2"/>
        <v>20.81640625</v>
      </c>
      <c r="J14" s="18">
        <f t="shared" si="2"/>
        <v>19.69140625</v>
      </c>
      <c r="K14" s="18">
        <f t="shared" si="2"/>
        <v>6.56640625</v>
      </c>
      <c r="L14" s="18">
        <f t="shared" si="2"/>
        <v>43.06640625</v>
      </c>
      <c r="N14" s="40" t="s">
        <v>76</v>
      </c>
      <c r="O14" s="42">
        <f>4*SUM(G11:G18)</f>
        <v>9123.375</v>
      </c>
      <c r="P14" s="42">
        <v>7</v>
      </c>
      <c r="Q14" s="42">
        <f>O14/P14</f>
        <v>1303.3392857142858</v>
      </c>
      <c r="R14" s="42">
        <f>Q14/Q15</f>
        <v>46.876685934489409</v>
      </c>
      <c r="S14" s="42">
        <f>FINV(0.05,P14,21)</f>
        <v>2.487577703722041</v>
      </c>
    </row>
    <row r="15" spans="1:19" x14ac:dyDescent="0.25">
      <c r="A15" s="3" t="s">
        <v>68</v>
      </c>
      <c r="B15" s="18">
        <v>33</v>
      </c>
      <c r="C15" s="18">
        <v>30</v>
      </c>
      <c r="D15" s="18">
        <v>35</v>
      </c>
      <c r="E15" s="18">
        <v>38</v>
      </c>
      <c r="F15" s="19">
        <f t="shared" si="0"/>
        <v>34</v>
      </c>
      <c r="G15">
        <f t="shared" si="1"/>
        <v>130.81640625</v>
      </c>
      <c r="I15" s="18">
        <f t="shared" si="2"/>
        <v>698.94140625</v>
      </c>
      <c r="J15" s="18">
        <f t="shared" si="2"/>
        <v>808.69140625</v>
      </c>
      <c r="K15" s="18">
        <f t="shared" si="2"/>
        <v>597.19140625</v>
      </c>
      <c r="L15" s="18">
        <f t="shared" si="2"/>
        <v>238.31640625</v>
      </c>
      <c r="N15" s="40" t="s">
        <v>77</v>
      </c>
      <c r="O15" s="42">
        <f>O16-O13-O14</f>
        <v>583.875</v>
      </c>
      <c r="P15" s="42">
        <v>21</v>
      </c>
      <c r="Q15" s="42">
        <f>O15/P15</f>
        <v>27.803571428571427</v>
      </c>
      <c r="R15" s="42"/>
      <c r="S15" s="42"/>
    </row>
    <row r="16" spans="1:19" x14ac:dyDescent="0.25">
      <c r="A16" s="3" t="s">
        <v>69</v>
      </c>
      <c r="B16" s="18">
        <v>74</v>
      </c>
      <c r="C16" s="18">
        <v>72</v>
      </c>
      <c r="D16" s="18">
        <v>78</v>
      </c>
      <c r="E16" s="18">
        <v>79</v>
      </c>
      <c r="F16" s="19">
        <f t="shared" si="0"/>
        <v>75.75</v>
      </c>
      <c r="G16">
        <f t="shared" si="1"/>
        <v>918.84765625</v>
      </c>
      <c r="I16" s="18">
        <f t="shared" si="2"/>
        <v>154.69140625</v>
      </c>
      <c r="J16" s="18">
        <f t="shared" si="2"/>
        <v>238.31640625</v>
      </c>
      <c r="K16" s="18">
        <f t="shared" si="2"/>
        <v>108.94140625</v>
      </c>
      <c r="L16" s="18">
        <f t="shared" si="2"/>
        <v>55.31640625</v>
      </c>
      <c r="N16" s="40" t="s">
        <v>24</v>
      </c>
      <c r="O16" s="42">
        <f>SUM(I12:L19)</f>
        <v>10865.875</v>
      </c>
      <c r="P16" s="42"/>
      <c r="Q16" s="42"/>
      <c r="R16" s="42"/>
      <c r="S16" s="42"/>
    </row>
    <row r="17" spans="1:14" x14ac:dyDescent="0.25">
      <c r="A17" s="3" t="s">
        <v>70</v>
      </c>
      <c r="B17" s="18">
        <v>33</v>
      </c>
      <c r="C17" s="18">
        <v>24</v>
      </c>
      <c r="D17" s="18">
        <v>27</v>
      </c>
      <c r="E17" s="18">
        <v>33</v>
      </c>
      <c r="F17" s="19">
        <f t="shared" si="0"/>
        <v>29.25</v>
      </c>
      <c r="G17">
        <f t="shared" si="1"/>
        <v>262.03515625</v>
      </c>
      <c r="I17" s="18">
        <f t="shared" si="2"/>
        <v>815.81640625</v>
      </c>
      <c r="J17" s="18">
        <f t="shared" si="2"/>
        <v>705.56640625</v>
      </c>
      <c r="K17" s="18">
        <f t="shared" si="2"/>
        <v>1060.31640625</v>
      </c>
      <c r="L17" s="18">
        <f t="shared" si="2"/>
        <v>1126.44140625</v>
      </c>
    </row>
    <row r="18" spans="1:14" x14ac:dyDescent="0.25">
      <c r="A18" s="3" t="s">
        <v>71</v>
      </c>
      <c r="B18" s="18">
        <v>56</v>
      </c>
      <c r="C18" s="18">
        <v>44</v>
      </c>
      <c r="D18" s="18">
        <v>56</v>
      </c>
      <c r="E18" s="18">
        <v>71</v>
      </c>
      <c r="F18" s="19">
        <f t="shared" si="0"/>
        <v>56.75</v>
      </c>
      <c r="G18">
        <f t="shared" si="1"/>
        <v>127.97265625</v>
      </c>
      <c r="I18" s="18">
        <f t="shared" si="2"/>
        <v>154.69140625</v>
      </c>
      <c r="J18" s="18">
        <f t="shared" si="2"/>
        <v>459.56640625</v>
      </c>
      <c r="K18" s="18">
        <f t="shared" si="2"/>
        <v>339.94140625</v>
      </c>
      <c r="L18" s="18">
        <f t="shared" si="2"/>
        <v>154.69140625</v>
      </c>
      <c r="N18" t="s">
        <v>136</v>
      </c>
    </row>
    <row r="19" spans="1:14" x14ac:dyDescent="0.25">
      <c r="A19" s="3" t="s">
        <v>73</v>
      </c>
      <c r="B19" s="20">
        <f>AVERAGE(B11:B18)</f>
        <v>44.375</v>
      </c>
      <c r="C19" s="20">
        <f>AVERAGE(C11:C18)</f>
        <v>37.75</v>
      </c>
      <c r="D19" s="20">
        <f>AVERAGE(D11:D18)</f>
        <v>45</v>
      </c>
      <c r="E19" s="20">
        <f>AVERAGE(E11:E18)</f>
        <v>54.625</v>
      </c>
      <c r="F19" s="14">
        <f>AVERAGE(F11:F18)</f>
        <v>45.4375</v>
      </c>
      <c r="I19" s="18">
        <f t="shared" si="2"/>
        <v>111.56640625</v>
      </c>
      <c r="J19" s="18">
        <f t="shared" si="2"/>
        <v>2.06640625</v>
      </c>
      <c r="K19" s="18">
        <f t="shared" si="2"/>
        <v>111.56640625</v>
      </c>
      <c r="L19" s="18">
        <f t="shared" si="2"/>
        <v>653.44140625</v>
      </c>
    </row>
    <row r="20" spans="1:14" x14ac:dyDescent="0.25">
      <c r="B20">
        <f>(B19-$F$19)^2</f>
        <v>1.12890625</v>
      </c>
      <c r="C20">
        <f>(C19-$F$19)^2</f>
        <v>59.09765625</v>
      </c>
      <c r="D20">
        <f>(D19-$F$19)^2</f>
        <v>0.19140625</v>
      </c>
      <c r="E20">
        <f>(E19-$F$19)^2</f>
        <v>84.41015625</v>
      </c>
    </row>
    <row r="22" spans="1:14" x14ac:dyDescent="0.25">
      <c r="A22" s="21" t="s">
        <v>79</v>
      </c>
      <c r="B22" s="22"/>
      <c r="C22" s="22" t="s">
        <v>80</v>
      </c>
      <c r="D22" s="22"/>
      <c r="E22" s="22"/>
      <c r="F22" s="22"/>
      <c r="G22" s="22"/>
      <c r="H22" s="22"/>
      <c r="I22" s="22"/>
    </row>
    <row r="23" spans="1:14" ht="15.75" thickBot="1" x14ac:dyDescent="0.3">
      <c r="A23" s="22"/>
      <c r="B23" s="22"/>
      <c r="C23" s="22"/>
      <c r="D23" s="22"/>
      <c r="E23" s="22"/>
      <c r="F23" s="22"/>
      <c r="G23" s="22"/>
      <c r="H23" s="22"/>
      <c r="I23" s="22"/>
    </row>
    <row r="24" spans="1:14" x14ac:dyDescent="0.25">
      <c r="A24" s="22"/>
      <c r="B24" s="22"/>
      <c r="C24" s="23" t="s">
        <v>12</v>
      </c>
      <c r="D24" s="23" t="s">
        <v>14</v>
      </c>
      <c r="E24" s="23" t="s">
        <v>15</v>
      </c>
      <c r="F24" s="23" t="s">
        <v>16</v>
      </c>
      <c r="G24" s="23" t="s">
        <v>17</v>
      </c>
      <c r="H24" s="22"/>
      <c r="I24" s="22"/>
    </row>
    <row r="25" spans="1:14" x14ac:dyDescent="0.25">
      <c r="A25" s="22"/>
      <c r="B25" s="22"/>
      <c r="C25" s="24" t="s">
        <v>64</v>
      </c>
      <c r="D25" s="24">
        <v>4</v>
      </c>
      <c r="E25" s="24">
        <v>241</v>
      </c>
      <c r="F25" s="24">
        <v>60.25</v>
      </c>
      <c r="G25" s="24">
        <v>285.58333333333331</v>
      </c>
      <c r="H25" s="22"/>
      <c r="I25" s="22"/>
    </row>
    <row r="26" spans="1:14" x14ac:dyDescent="0.25">
      <c r="A26" s="22"/>
      <c r="B26" s="22"/>
      <c r="C26" s="24" t="s">
        <v>65</v>
      </c>
      <c r="D26" s="24">
        <v>4</v>
      </c>
      <c r="E26" s="24">
        <v>152</v>
      </c>
      <c r="F26" s="24">
        <v>38</v>
      </c>
      <c r="G26" s="24">
        <v>74.666666666666671</v>
      </c>
      <c r="H26" s="22"/>
      <c r="I26" s="22"/>
    </row>
    <row r="27" spans="1:14" x14ac:dyDescent="0.25">
      <c r="A27" s="22"/>
      <c r="B27" s="22"/>
      <c r="C27" s="24" t="s">
        <v>66</v>
      </c>
      <c r="D27" s="24">
        <v>4</v>
      </c>
      <c r="E27" s="24">
        <v>191</v>
      </c>
      <c r="F27" s="24">
        <v>47.75</v>
      </c>
      <c r="G27" s="24">
        <v>22.916666666666668</v>
      </c>
      <c r="H27" s="22"/>
      <c r="I27" s="22"/>
    </row>
    <row r="28" spans="1:14" x14ac:dyDescent="0.25">
      <c r="A28" s="22"/>
      <c r="B28" s="22"/>
      <c r="C28" s="24" t="s">
        <v>67</v>
      </c>
      <c r="D28" s="24">
        <v>4</v>
      </c>
      <c r="E28" s="24">
        <v>87</v>
      </c>
      <c r="F28" s="24">
        <v>21.75</v>
      </c>
      <c r="G28" s="24">
        <v>32.916666666666664</v>
      </c>
      <c r="H28" s="22"/>
      <c r="I28" s="22"/>
    </row>
    <row r="29" spans="1:14" x14ac:dyDescent="0.25">
      <c r="A29" s="22"/>
      <c r="B29" s="22"/>
      <c r="C29" s="24" t="s">
        <v>68</v>
      </c>
      <c r="D29" s="24">
        <v>4</v>
      </c>
      <c r="E29" s="24">
        <v>136</v>
      </c>
      <c r="F29" s="24">
        <v>34</v>
      </c>
      <c r="G29" s="24">
        <v>11.333333333333334</v>
      </c>
      <c r="H29" s="22"/>
      <c r="I29" s="22"/>
    </row>
    <row r="30" spans="1:14" x14ac:dyDescent="0.25">
      <c r="A30" s="22"/>
      <c r="B30" s="22"/>
      <c r="C30" s="24" t="s">
        <v>69</v>
      </c>
      <c r="D30" s="24">
        <v>4</v>
      </c>
      <c r="E30" s="24">
        <v>303</v>
      </c>
      <c r="F30" s="24">
        <v>75.75</v>
      </c>
      <c r="G30" s="24">
        <v>10.916666666666666</v>
      </c>
      <c r="H30" s="22"/>
      <c r="I30" s="22"/>
    </row>
    <row r="31" spans="1:14" x14ac:dyDescent="0.25">
      <c r="A31" s="22"/>
      <c r="B31" s="22"/>
      <c r="C31" s="24" t="s">
        <v>70</v>
      </c>
      <c r="D31" s="24">
        <v>4</v>
      </c>
      <c r="E31" s="24">
        <v>117</v>
      </c>
      <c r="F31" s="24">
        <v>29.25</v>
      </c>
      <c r="G31" s="24">
        <v>20.25</v>
      </c>
      <c r="H31" s="22"/>
      <c r="I31" s="22"/>
    </row>
    <row r="32" spans="1:14" x14ac:dyDescent="0.25">
      <c r="A32" s="22"/>
      <c r="B32" s="22"/>
      <c r="C32" s="24" t="s">
        <v>71</v>
      </c>
      <c r="D32" s="24">
        <v>4</v>
      </c>
      <c r="E32" s="24">
        <v>227</v>
      </c>
      <c r="F32" s="24">
        <v>56.75</v>
      </c>
      <c r="G32" s="24">
        <v>122.25</v>
      </c>
      <c r="H32" s="22"/>
      <c r="I32" s="22"/>
    </row>
    <row r="33" spans="1:14" x14ac:dyDescent="0.25">
      <c r="A33" s="22"/>
      <c r="B33" s="22"/>
      <c r="C33" s="24"/>
      <c r="D33" s="24"/>
      <c r="E33" s="24"/>
      <c r="F33" s="24"/>
      <c r="G33" s="24"/>
      <c r="H33" s="22"/>
      <c r="I33" s="22"/>
    </row>
    <row r="34" spans="1:14" x14ac:dyDescent="0.25">
      <c r="A34" s="22"/>
      <c r="B34" s="22"/>
      <c r="C34" s="24" t="s">
        <v>60</v>
      </c>
      <c r="D34" s="24">
        <v>8</v>
      </c>
      <c r="E34" s="24">
        <v>355</v>
      </c>
      <c r="F34" s="24">
        <v>44.375</v>
      </c>
      <c r="G34" s="24">
        <v>312.83928571428572</v>
      </c>
      <c r="H34" s="22"/>
      <c r="I34" s="22"/>
    </row>
    <row r="35" spans="1:14" x14ac:dyDescent="0.25">
      <c r="A35" s="22"/>
      <c r="B35" s="22"/>
      <c r="C35" s="24" t="s">
        <v>61</v>
      </c>
      <c r="D35" s="24">
        <v>8</v>
      </c>
      <c r="E35" s="24">
        <v>302</v>
      </c>
      <c r="F35" s="24">
        <v>37.75</v>
      </c>
      <c r="G35" s="24">
        <v>285.92857142857144</v>
      </c>
      <c r="H35" s="22"/>
      <c r="I35" s="22"/>
    </row>
    <row r="36" spans="1:14" x14ac:dyDescent="0.25">
      <c r="A36" s="22"/>
      <c r="B36" s="22"/>
      <c r="C36" s="24" t="s">
        <v>62</v>
      </c>
      <c r="D36" s="24">
        <v>8</v>
      </c>
      <c r="E36" s="24">
        <v>360</v>
      </c>
      <c r="F36" s="24">
        <v>45</v>
      </c>
      <c r="G36" s="24">
        <v>344.57142857142856</v>
      </c>
      <c r="H36" s="22"/>
      <c r="I36" s="22"/>
    </row>
    <row r="37" spans="1:14" ht="15.75" thickBot="1" x14ac:dyDescent="0.3">
      <c r="A37" s="22"/>
      <c r="B37" s="22"/>
      <c r="C37" s="25" t="s">
        <v>63</v>
      </c>
      <c r="D37" s="25">
        <v>8</v>
      </c>
      <c r="E37" s="25">
        <v>437</v>
      </c>
      <c r="F37" s="25">
        <v>54.625</v>
      </c>
      <c r="G37" s="25">
        <v>443.41071428571428</v>
      </c>
      <c r="H37" s="22"/>
      <c r="I37" s="22"/>
    </row>
    <row r="38" spans="1:14" x14ac:dyDescent="0.25">
      <c r="A38" s="22"/>
      <c r="B38" s="22"/>
      <c r="C38" s="22"/>
      <c r="D38" s="22"/>
      <c r="E38" s="22"/>
      <c r="F38" s="22"/>
      <c r="G38" s="22"/>
      <c r="H38" s="22"/>
      <c r="I38" s="22"/>
    </row>
    <row r="39" spans="1:14" x14ac:dyDescent="0.25">
      <c r="A39" s="22"/>
      <c r="B39" s="22"/>
      <c r="C39" s="22"/>
      <c r="D39" s="22"/>
      <c r="E39" s="22"/>
      <c r="F39" s="22"/>
      <c r="G39" s="22"/>
      <c r="H39" s="22"/>
      <c r="I39" s="22"/>
    </row>
    <row r="40" spans="1:14" ht="15.75" thickBot="1" x14ac:dyDescent="0.3">
      <c r="A40" s="22"/>
      <c r="B40" s="22"/>
      <c r="C40" s="22" t="s">
        <v>18</v>
      </c>
      <c r="D40" s="22"/>
      <c r="E40" s="22"/>
      <c r="F40" s="22"/>
      <c r="G40" s="22"/>
      <c r="H40" s="22"/>
      <c r="I40" s="22"/>
    </row>
    <row r="41" spans="1:14" x14ac:dyDescent="0.25">
      <c r="A41" s="22"/>
      <c r="B41" s="22"/>
      <c r="C41" s="23" t="s">
        <v>19</v>
      </c>
      <c r="D41" s="23" t="s">
        <v>2</v>
      </c>
      <c r="E41" s="23" t="s">
        <v>5</v>
      </c>
      <c r="F41" s="23" t="s">
        <v>4</v>
      </c>
      <c r="G41" s="23" t="s">
        <v>6</v>
      </c>
      <c r="H41" s="23" t="s">
        <v>20</v>
      </c>
      <c r="I41" s="23" t="s">
        <v>21</v>
      </c>
    </row>
    <row r="42" spans="1:14" x14ac:dyDescent="0.25">
      <c r="A42" s="22"/>
      <c r="B42" s="22"/>
      <c r="C42" s="24" t="s">
        <v>81</v>
      </c>
      <c r="D42" s="24">
        <v>9123.375</v>
      </c>
      <c r="E42" s="24">
        <v>7</v>
      </c>
      <c r="F42" s="24">
        <v>1303.3392857142858</v>
      </c>
      <c r="G42" s="24">
        <v>46.876685934489409</v>
      </c>
      <c r="H42" s="24">
        <v>2.0783626913580404E-11</v>
      </c>
      <c r="I42" s="24">
        <v>2.4875777039403735</v>
      </c>
    </row>
    <row r="43" spans="1:14" x14ac:dyDescent="0.25">
      <c r="A43" s="22"/>
      <c r="B43" s="22"/>
      <c r="C43" s="24" t="s">
        <v>82</v>
      </c>
      <c r="D43" s="24">
        <v>1158.625</v>
      </c>
      <c r="E43" s="24">
        <v>3</v>
      </c>
      <c r="F43" s="24">
        <v>386.20833333333331</v>
      </c>
      <c r="G43" s="24">
        <v>13.890601584243203</v>
      </c>
      <c r="H43" s="24">
        <v>3.2564855556696041E-5</v>
      </c>
      <c r="I43" s="24">
        <v>3.0724670011036501</v>
      </c>
    </row>
    <row r="44" spans="1:14" x14ac:dyDescent="0.25">
      <c r="A44" s="22"/>
      <c r="B44" s="22"/>
      <c r="C44" s="24" t="s">
        <v>83</v>
      </c>
      <c r="D44" s="24">
        <v>583.875</v>
      </c>
      <c r="E44" s="24">
        <v>21</v>
      </c>
      <c r="F44" s="24">
        <v>27.803571428571427</v>
      </c>
      <c r="G44" s="24"/>
      <c r="H44" s="24"/>
      <c r="I44" s="24"/>
      <c r="N44" s="9"/>
    </row>
    <row r="45" spans="1:14" x14ac:dyDescent="0.25">
      <c r="A45" s="22"/>
      <c r="B45" s="22"/>
      <c r="C45" s="22" t="s">
        <v>24</v>
      </c>
      <c r="D45" s="22">
        <v>10865.875</v>
      </c>
      <c r="E45" s="22">
        <v>31</v>
      </c>
      <c r="F45" s="22"/>
      <c r="G45" s="22"/>
      <c r="H45" s="22"/>
      <c r="I45" s="22"/>
    </row>
    <row r="47" spans="1:14" ht="18" x14ac:dyDescent="0.35">
      <c r="A47" s="10" t="s">
        <v>89</v>
      </c>
      <c r="B47" t="s">
        <v>90</v>
      </c>
      <c r="D47" t="s">
        <v>7</v>
      </c>
      <c r="E47" t="s">
        <v>117</v>
      </c>
      <c r="G47" t="s">
        <v>87</v>
      </c>
    </row>
    <row r="48" spans="1:14" x14ac:dyDescent="0.25">
      <c r="C48" t="s">
        <v>116</v>
      </c>
    </row>
    <row r="50" spans="1:10" ht="18" x14ac:dyDescent="0.35">
      <c r="B50" t="s">
        <v>118</v>
      </c>
    </row>
    <row r="51" spans="1:10" x14ac:dyDescent="0.25">
      <c r="B51" t="s">
        <v>137</v>
      </c>
    </row>
    <row r="53" spans="1:10" ht="18" x14ac:dyDescent="0.35">
      <c r="A53" s="10" t="s">
        <v>46</v>
      </c>
      <c r="B53" t="s">
        <v>120</v>
      </c>
      <c r="C53" t="s">
        <v>119</v>
      </c>
      <c r="E53" t="s">
        <v>88</v>
      </c>
    </row>
    <row r="54" spans="1:10" ht="18" x14ac:dyDescent="0.35">
      <c r="B54" t="s">
        <v>121</v>
      </c>
      <c r="C54" t="s">
        <v>9</v>
      </c>
    </row>
    <row r="55" spans="1:10" x14ac:dyDescent="0.25">
      <c r="C55" s="6" t="s">
        <v>106</v>
      </c>
      <c r="D55" s="6"/>
      <c r="E55" s="6"/>
      <c r="F55" s="6"/>
      <c r="G55" s="6"/>
      <c r="H55" s="6"/>
      <c r="I55" s="6"/>
    </row>
    <row r="56" spans="1:10" x14ac:dyDescent="0.25">
      <c r="C56" s="6"/>
    </row>
    <row r="57" spans="1:10" x14ac:dyDescent="0.25">
      <c r="A57" s="10" t="s">
        <v>109</v>
      </c>
      <c r="B57" t="s">
        <v>91</v>
      </c>
      <c r="C57">
        <f>TINV(0.05,21)*SQRT(F44*2/8)</f>
        <v>5.4828074868726819</v>
      </c>
      <c r="D57" t="s">
        <v>122</v>
      </c>
      <c r="E57">
        <f>TINV(0.05,21)</f>
        <v>2.07961384472768</v>
      </c>
      <c r="F57" t="s">
        <v>123</v>
      </c>
    </row>
    <row r="58" spans="1:10" x14ac:dyDescent="0.25">
      <c r="J58" s="1"/>
    </row>
    <row r="59" spans="1:10" ht="18" x14ac:dyDescent="0.35">
      <c r="C59" s="31" t="s">
        <v>30</v>
      </c>
      <c r="D59" s="31" t="s">
        <v>112</v>
      </c>
      <c r="E59" s="31" t="s">
        <v>95</v>
      </c>
      <c r="F59" s="31" t="s">
        <v>34</v>
      </c>
    </row>
    <row r="60" spans="1:10" x14ac:dyDescent="0.25">
      <c r="C60" s="1" t="s">
        <v>31</v>
      </c>
      <c r="D60">
        <f>F34-F35</f>
        <v>6.625</v>
      </c>
      <c r="E60" s="29">
        <f t="shared" ref="E60:E65" si="3">$C$57</f>
        <v>5.4828074868726819</v>
      </c>
      <c r="F60" s="1" t="s">
        <v>35</v>
      </c>
    </row>
    <row r="61" spans="1:10" x14ac:dyDescent="0.25">
      <c r="C61" s="1" t="s">
        <v>32</v>
      </c>
      <c r="D61">
        <f>ABS(F34-F36)</f>
        <v>0.625</v>
      </c>
      <c r="E61" s="29">
        <f t="shared" si="3"/>
        <v>5.4828074868726819</v>
      </c>
      <c r="F61" s="1" t="s">
        <v>36</v>
      </c>
    </row>
    <row r="62" spans="1:10" x14ac:dyDescent="0.25">
      <c r="C62" s="1" t="s">
        <v>92</v>
      </c>
      <c r="D62">
        <f>ABS(F34-F37)</f>
        <v>10.25</v>
      </c>
      <c r="E62" s="29">
        <f t="shared" si="3"/>
        <v>5.4828074868726819</v>
      </c>
      <c r="F62" s="1" t="s">
        <v>35</v>
      </c>
    </row>
    <row r="63" spans="1:10" x14ac:dyDescent="0.25">
      <c r="C63" s="1" t="s">
        <v>33</v>
      </c>
      <c r="D63">
        <f>-(F35-F36)</f>
        <v>7.25</v>
      </c>
      <c r="E63" s="29">
        <f t="shared" si="3"/>
        <v>5.4828074868726819</v>
      </c>
      <c r="F63" s="1" t="s">
        <v>35</v>
      </c>
    </row>
    <row r="64" spans="1:10" x14ac:dyDescent="0.25">
      <c r="C64" s="1" t="s">
        <v>93</v>
      </c>
      <c r="D64">
        <f>ABS(F35-F37)</f>
        <v>16.875</v>
      </c>
      <c r="E64" s="29">
        <f t="shared" si="3"/>
        <v>5.4828074868726819</v>
      </c>
      <c r="F64" s="1" t="s">
        <v>35</v>
      </c>
    </row>
    <row r="65" spans="3:6" x14ac:dyDescent="0.25">
      <c r="C65" s="26" t="s">
        <v>94</v>
      </c>
      <c r="D65" s="12">
        <f>F37-F36</f>
        <v>9.625</v>
      </c>
      <c r="E65" s="29">
        <f t="shared" si="3"/>
        <v>5.4828074868726819</v>
      </c>
      <c r="F65" s="26" t="s">
        <v>35</v>
      </c>
    </row>
    <row r="67" spans="3:6" x14ac:dyDescent="0.25">
      <c r="C67" t="s">
        <v>107</v>
      </c>
    </row>
    <row r="68" spans="3:6" x14ac:dyDescent="0.25">
      <c r="C68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57-2</vt:lpstr>
      <vt:lpstr>57-4</vt:lpstr>
      <vt:lpstr>57-6</vt:lpstr>
      <vt:lpstr>57-10</vt:lpstr>
      <vt:lpstr>70-18</vt:lpstr>
    </vt:vector>
  </TitlesOfParts>
  <Company>Wake Forest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 Forest</dc:creator>
  <cp:lastModifiedBy>wfut4002009</cp:lastModifiedBy>
  <dcterms:created xsi:type="dcterms:W3CDTF">2009-02-09T21:31:58Z</dcterms:created>
  <dcterms:modified xsi:type="dcterms:W3CDTF">2011-02-08T13:48:22Z</dcterms:modified>
</cp:coreProperties>
</file>